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BUILT_DCF" sheetId="2" state="visible" r:id="rId2"/>
    <sheet xmlns:r="http://schemas.openxmlformats.org/officeDocument/2006/relationships" name="WACC" sheetId="3" state="visible" r:id="rId3"/>
    <sheet xmlns:r="http://schemas.openxmlformats.org/officeDocument/2006/relationships" name="Sensitivity_grid" sheetId="4" state="visible" r:id="rId4"/>
    <sheet xmlns:r="http://schemas.openxmlformats.org/officeDocument/2006/relationships" name="Inputs_audit" sheetId="5" state="visible" r:id="rId5"/>
    <sheet xmlns:r="http://schemas.openxmlformats.org/officeDocument/2006/relationships" name="Issu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b val="1"/>
      <color rgb="000F172A"/>
      <sz val="11"/>
    </font>
    <font>
      <name val="Calibri"/>
      <color rgb="000F172A"/>
      <sz val="10"/>
    </font>
    <font>
      <name val="Calibri"/>
      <b val="1"/>
      <color rgb="000F172A"/>
      <sz val="10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5" fontId="0" fillId="0" borderId="0" pivotButton="0" quotePrefix="0" xfId="0"/>
    <xf numFmtId="165" fontId="3" fillId="0" borderId="1" applyAlignment="1" pivotButton="0" quotePrefix="0" xfId="0">
      <alignment vertical="center" wrapText="1"/>
    </xf>
    <xf numFmtId="165" fontId="3" fillId="3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2" fontId="3" fillId="0" borderId="1" applyAlignment="1" pivotButton="0" quotePrefix="0" xfId="0">
      <alignment vertical="center" wrapText="1"/>
    </xf>
    <xf numFmtId="2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6" fontId="3" fillId="0" borderId="1" applyAlignment="1" pivotButton="0" quotePrefix="0" xfId="0">
      <alignment vertical="center" wrapText="1"/>
    </xf>
    <xf numFmtId="10" fontId="3" fillId="3" borderId="1" applyAlignment="1" pivotButton="0" quotePrefix="0" xfId="0">
      <alignment vertical="center" wrapText="1"/>
    </xf>
    <xf numFmtId="10" fontId="3" fillId="0" borderId="1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/>
    </xf>
    <xf numFmtId="10" fontId="1" fillId="2" borderId="0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2" fontId="3" fillId="3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5" fillId="0" borderId="0" pivotButton="0" quotePrefix="0" xfId="0"/>
    <xf numFmtId="164" fontId="3" fillId="3" borderId="1" applyAlignment="1" pivotButton="0" quotePrefix="0" xfId="0">
      <alignment vertical="center" wrapText="1"/>
    </xf>
    <xf numFmtId="165" fontId="0" fillId="0" borderId="0" pivotButton="0" quotePrefix="0" xfId="0"/>
    <xf numFmtId="165" fontId="3" fillId="0" borderId="1" applyAlignment="1" pivotButton="0" quotePrefix="0" xfId="0">
      <alignment vertical="center" wrapText="1"/>
    </xf>
    <xf numFmtId="165" fontId="3" fillId="3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165" fontId="3" fillId="3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3" t="inlineStr">
        <is>
          <t>Oxaide — Private research desk</t>
        </is>
      </c>
    </row>
    <row r="2">
      <c r="A2" t="inlineStr">
        <is>
          <t>DCF sanity check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22" customHeight="1">
      <c r="A1" s="1" t="inlineStr">
        <is>
          <t>REBUILT 5-year DCF — SingPost (S$m unless stated). REBUILT model, not the company's.</t>
        </is>
      </c>
    </row>
    <row r="2" ht="28" customHeight="1">
      <c r="A2" s="2" t="inlineStr">
        <is>
          <t>Item</t>
        </is>
      </c>
      <c r="B2" s="2" t="inlineStr">
        <is>
          <t>FY26A</t>
        </is>
      </c>
      <c r="C2" s="2" t="inlineStr">
        <is>
          <t>FY27E</t>
        </is>
      </c>
      <c r="D2" s="2" t="inlineStr">
        <is>
          <t>FY28E</t>
        </is>
      </c>
      <c r="E2" s="2" t="inlineStr">
        <is>
          <t>FY29E</t>
        </is>
      </c>
      <c r="F2" s="2" t="inlineStr">
        <is>
          <t>FY30E</t>
        </is>
      </c>
      <c r="G2" s="2" t="inlineStr">
        <is>
          <t>FY31E</t>
        </is>
      </c>
    </row>
    <row r="3">
      <c r="A3" s="3" t="inlineStr">
        <is>
          <t>Revenue (S$m)</t>
        </is>
      </c>
      <c r="B3" s="24" t="n">
        <v>376.052</v>
      </c>
      <c r="C3" s="24">
        <f>B3*(1+C4)</f>
        <v/>
      </c>
      <c r="D3" s="24">
        <f>C3*(1+D4)</f>
        <v/>
      </c>
      <c r="E3" s="24">
        <f>D3*(1+E4)</f>
        <v/>
      </c>
      <c r="F3" s="24">
        <f>E3*(1+F4)</f>
        <v/>
      </c>
      <c r="G3" s="24">
        <f>F3*(1+G4)</f>
        <v/>
      </c>
    </row>
    <row r="4">
      <c r="A4" s="5" t="inlineStr">
        <is>
          <t>Revenue growth</t>
        </is>
      </c>
      <c r="B4" s="25" t="n"/>
      <c r="C4" s="26" t="n">
        <v>0.015</v>
      </c>
      <c r="D4" s="26" t="n">
        <v>0.015</v>
      </c>
      <c r="E4" s="26" t="n">
        <v>0.01</v>
      </c>
      <c r="F4" s="26" t="n">
        <v>0.01</v>
      </c>
      <c r="G4" s="26" t="n">
        <v>0.005</v>
      </c>
    </row>
    <row r="5">
      <c r="A5" s="3" t="inlineStr">
        <is>
          <t>EBIT margin</t>
        </is>
      </c>
      <c r="B5" s="27" t="n">
        <v>0.0313</v>
      </c>
      <c r="C5" s="27" t="n">
        <v>0.035</v>
      </c>
      <c r="D5" s="27" t="n">
        <v>0.045</v>
      </c>
      <c r="E5" s="27" t="n">
        <v>0.05</v>
      </c>
      <c r="F5" s="27" t="n">
        <v>0.055</v>
      </c>
      <c r="G5" s="27" t="n">
        <v>0.06</v>
      </c>
    </row>
    <row r="6">
      <c r="A6" s="5" t="inlineStr">
        <is>
          <t>EBIT (S$m)</t>
        </is>
      </c>
      <c r="B6" s="28" t="n">
        <v>11.772</v>
      </c>
      <c r="C6" s="28">
        <f>C3*C5</f>
        <v/>
      </c>
      <c r="D6" s="28">
        <f>D3*D5</f>
        <v/>
      </c>
      <c r="E6" s="28">
        <f>E3*E5</f>
        <v/>
      </c>
      <c r="F6" s="28">
        <f>F3*F5</f>
        <v/>
      </c>
      <c r="G6" s="28">
        <f>G3*G5</f>
        <v/>
      </c>
    </row>
    <row r="7">
      <c r="A7" s="3" t="inlineStr">
        <is>
          <t>Less: cash tax @17% (S$m)</t>
        </is>
      </c>
      <c r="B7" s="24">
        <f>-B6*0.17</f>
        <v/>
      </c>
      <c r="C7" s="24">
        <f>-C6*0.17</f>
        <v/>
      </c>
      <c r="D7" s="24">
        <f>-D6*0.17</f>
        <v/>
      </c>
      <c r="E7" s="24">
        <f>-E6*0.17</f>
        <v/>
      </c>
      <c r="F7" s="24">
        <f>-F6*0.17</f>
        <v/>
      </c>
      <c r="G7" s="24">
        <f>-G6*0.17</f>
        <v/>
      </c>
    </row>
    <row r="8">
      <c r="A8" s="5" t="inlineStr">
        <is>
          <t>NOPAT (S$m)</t>
        </is>
      </c>
      <c r="B8" s="28">
        <f>B6+B7</f>
        <v/>
      </c>
      <c r="C8" s="28">
        <f>C6+C7</f>
        <v/>
      </c>
      <c r="D8" s="28">
        <f>D6+D7</f>
        <v/>
      </c>
      <c r="E8" s="28">
        <f>E6+E7</f>
        <v/>
      </c>
      <c r="F8" s="28">
        <f>F6+F7</f>
        <v/>
      </c>
      <c r="G8" s="28">
        <f>G6+G7</f>
        <v/>
      </c>
    </row>
    <row r="9">
      <c r="A9" s="3" t="inlineStr">
        <is>
          <t>Add: depreciation &amp; amortisation (S$m)</t>
        </is>
      </c>
      <c r="B9" s="24" t="n">
        <v>30.746</v>
      </c>
      <c r="C9" s="24" t="n">
        <v>30</v>
      </c>
      <c r="D9" s="24" t="n">
        <v>30</v>
      </c>
      <c r="E9" s="24" t="n">
        <v>30</v>
      </c>
      <c r="F9" s="24" t="n">
        <v>30</v>
      </c>
      <c r="G9" s="24" t="n">
        <v>30</v>
      </c>
    </row>
    <row r="10">
      <c r="A10" s="5" t="inlineStr">
        <is>
          <t>Less: cash capex (S$m)</t>
        </is>
      </c>
      <c r="B10" s="28" t="n">
        <v>15.712</v>
      </c>
      <c r="C10" s="28" t="n">
        <v>20</v>
      </c>
      <c r="D10" s="28" t="n">
        <v>20.6</v>
      </c>
      <c r="E10" s="28" t="n">
        <v>21.218</v>
      </c>
      <c r="F10" s="28" t="n">
        <v>21.854</v>
      </c>
      <c r="G10" s="28" t="n">
        <v>22.51</v>
      </c>
    </row>
    <row r="11">
      <c r="A11" s="3" t="inlineStr">
        <is>
          <t>Less: change in working capital (S$m)</t>
        </is>
      </c>
      <c r="B11" s="24" t="n">
        <v>0</v>
      </c>
      <c r="C11" s="24" t="n">
        <v>0</v>
      </c>
      <c r="D11" s="24" t="n">
        <v>0</v>
      </c>
      <c r="E11" s="24" t="n">
        <v>0</v>
      </c>
      <c r="F11" s="24" t="n">
        <v>0</v>
      </c>
      <c r="G11" s="24" t="n">
        <v>0</v>
      </c>
    </row>
    <row r="12">
      <c r="A12" s="5" t="inlineStr">
        <is>
          <t>FCFF (REBUILT, S$m)</t>
        </is>
      </c>
      <c r="B12" s="28">
        <f>B8+B9-B10-B11</f>
        <v/>
      </c>
      <c r="C12" s="28">
        <f>C8+C9-C10-C11</f>
        <v/>
      </c>
      <c r="D12" s="28">
        <f>D8+D9-D10-D11</f>
        <v/>
      </c>
      <c r="E12" s="28">
        <f>E8+E9-E10-E11</f>
        <v/>
      </c>
      <c r="F12" s="28">
        <f>F8+F9-F10-F11</f>
        <v/>
      </c>
      <c r="G12" s="28">
        <f>G8+G9-G10-G11</f>
        <v/>
      </c>
    </row>
    <row r="13">
      <c r="A13" s="3" t="inlineStr">
        <is>
          <t>Discount factor @WACC</t>
        </is>
      </c>
      <c r="C13" s="3">
        <f>(1+WACC!$B$14)^1</f>
        <v/>
      </c>
      <c r="D13" s="3">
        <f>(1+WACC!$B$14)^2</f>
        <v/>
      </c>
      <c r="E13" s="3">
        <f>(1+WACC!$B$14)^3</f>
        <v/>
      </c>
      <c r="F13" s="3">
        <f>(1+WACC!$B$14)^4</f>
        <v/>
      </c>
      <c r="G13" s="3">
        <f>(1+WACC!$B$14)^5</f>
        <v/>
      </c>
    </row>
    <row r="14">
      <c r="A14" s="5" t="inlineStr">
        <is>
          <t>PV of FCFF (S$m)</t>
        </is>
      </c>
      <c r="C14" s="28">
        <f>C12/C13</f>
        <v/>
      </c>
      <c r="D14" s="28">
        <f>D12/D13</f>
        <v/>
      </c>
      <c r="E14" s="28">
        <f>E12/E13</f>
        <v/>
      </c>
      <c r="F14" s="28">
        <f>F12/F13</f>
        <v/>
      </c>
      <c r="G14" s="28">
        <f>G12/G13</f>
        <v/>
      </c>
    </row>
    <row r="15">
      <c r="A15" s="3" t="inlineStr">
        <is>
          <t>Terminal value at FY31 (S$m)</t>
        </is>
      </c>
      <c r="G15" s="24">
        <f>G12*(1+WACC!$B$15)/(WACC!$B$14-WACC!$B$15)</f>
        <v/>
      </c>
    </row>
    <row r="16">
      <c r="A16" s="5" t="inlineStr">
        <is>
          <t>PV of terminal value (S$m)</t>
        </is>
      </c>
      <c r="G16" s="28">
        <f>G15/G13</f>
        <v/>
      </c>
    </row>
    <row r="17">
      <c r="A17" s="3" t="inlineStr">
        <is>
          <t>Enterprise value (S$m)</t>
        </is>
      </c>
      <c r="G17" s="24">
        <f>SUM(C14:G14)+G16</f>
        <v/>
      </c>
    </row>
    <row r="19">
      <c r="A19" s="3" t="inlineStr">
        <is>
          <t>BRIDGE: enterprise value (S$m)</t>
        </is>
      </c>
      <c r="B19" s="24">
        <f>G17</f>
        <v/>
      </c>
    </row>
    <row r="20">
      <c r="A20" s="5" t="inlineStr">
        <is>
          <t>Less: borrowings 31 Mar 2026 (S$m)</t>
        </is>
      </c>
      <c r="B20" s="28" t="n">
        <v>-349.651</v>
      </c>
    </row>
    <row r="21">
      <c r="A21" s="3" t="inlineStr">
        <is>
          <t>Add: cash + synthetic deposits 31 Mar 2026 (S$m)</t>
        </is>
      </c>
      <c r="B21" s="24" t="n">
        <v>603.813</v>
      </c>
    </row>
    <row r="22">
      <c r="A22" s="5" t="inlineStr">
        <is>
          <t>Less: lease liabilities 31 Mar 2026 (S$m)</t>
        </is>
      </c>
      <c r="B22" s="28" t="n">
        <v>-13.133</v>
      </c>
    </row>
    <row r="23">
      <c r="A23" s="3" t="inlineStr">
        <is>
          <t>Less: perpetual securities at par (S$m)</t>
        </is>
      </c>
      <c r="B23" s="24" t="n">
        <v>-251.504</v>
      </c>
    </row>
    <row r="24">
      <c r="A24" s="5" t="inlineStr">
        <is>
          <t>Equity value to ordinary holders (S$m)</t>
        </is>
      </c>
      <c r="B24" s="28">
        <f>SUM(B19:B23)</f>
        <v/>
      </c>
    </row>
    <row r="25">
      <c r="A25" s="3" t="inlineStr">
        <is>
          <t>Shares outstanding 31 Mar 2026 (m)</t>
        </is>
      </c>
      <c r="B25" s="24" t="n">
        <v>2251.267</v>
      </c>
    </row>
    <row r="26">
      <c r="A26" s="5" t="inlineStr">
        <is>
          <t>REBUILT value per share (S$)</t>
        </is>
      </c>
      <c r="B26" s="10">
        <f>B24/B25</f>
        <v/>
      </c>
    </row>
    <row r="27">
      <c r="A27" s="3" t="inlineStr">
        <is>
          <t>Market price 28 Sep 2026 (S$)</t>
        </is>
      </c>
      <c r="B27" s="11" t="n">
        <v>0.31</v>
      </c>
    </row>
    <row r="28">
      <c r="A28" s="5" t="inlineStr">
        <is>
          <t>Implied upside / (downside)</t>
        </is>
      </c>
      <c r="B28" s="26">
        <f>B26/B27-1</f>
        <v/>
      </c>
      <c r="C28" s="25" t="n"/>
      <c r="D28" s="25" t="n"/>
      <c r="E28" s="25" t="n"/>
      <c r="F28" s="25" t="n"/>
      <c r="G28" s="25" t="n"/>
    </row>
    <row r="29">
      <c r="A29" s="3" t="inlineStr">
        <is>
          <t>Market capitalisation (S$m)</t>
        </is>
      </c>
      <c r="B29" s="24">
        <f>B25*B27</f>
        <v/>
      </c>
    </row>
    <row r="30">
      <c r="A30" s="5" t="inlineStr">
        <is>
          <t>Market-implied enterprise value (S$m)</t>
        </is>
      </c>
      <c r="B30" s="28">
        <f>B29-B20-B21-B22-B23</f>
        <v/>
      </c>
    </row>
    <row r="32">
      <c r="A32" s="12" t="inlineStr">
        <is>
          <t>CROSS-CHECKS (S$m unless stated)</t>
        </is>
      </c>
    </row>
    <row r="33">
      <c r="A33" s="3" t="inlineStr">
        <is>
          <t>Underlying EBITDA FY26 = op profit + D&amp;A (S$m)</t>
        </is>
      </c>
      <c r="B33" s="24">
        <f>11.772+30.746</f>
        <v/>
      </c>
    </row>
    <row r="34">
      <c r="A34" s="5" t="inlineStr">
        <is>
          <t>REBUILT EV / underlying EBITDA (x)</t>
        </is>
      </c>
      <c r="B34" s="13">
        <f>G17/B33</f>
        <v/>
      </c>
    </row>
    <row r="35">
      <c r="A35" s="3" t="inlineStr">
        <is>
          <t>Property + net cash − perpetuals (S$m)</t>
        </is>
      </c>
      <c r="B35" s="24">
        <f>1034.904+254.162-251.504</f>
        <v/>
      </c>
    </row>
    <row r="36">
      <c r="A36" s="5" t="inlineStr">
        <is>
          <t>Market-implied value of ops ex-property (S$m)</t>
        </is>
      </c>
      <c r="B36" s="28">
        <f>B29-B35</f>
        <v/>
      </c>
    </row>
    <row r="37">
      <c r="A37" s="3" t="inlineStr">
        <is>
          <t>REBUILT-implied value of ops ex-property (S$m)</t>
        </is>
      </c>
      <c r="B37" s="24">
        <f>B24-B35</f>
        <v/>
      </c>
    </row>
  </sheetData>
  <pageMargins left="0.75" right="0.75" top="1" bottom="1" header="0.5" footer="0.5"/>
  <headerFooter>
    <oddHeader/>
    <oddFooter>&amp;COxaide • UEN 201806463W • Research, not advice • REF SAMPLE-dcf-audit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55" customWidth="1" min="3" max="3"/>
  </cols>
  <sheetData>
    <row r="1" ht="22" customHeight="1">
      <c r="A1" s="1" t="inlineStr">
        <is>
          <t>WACC rebuild — Rf + beta x MRP. Every input cited (see Inputs_audit).</t>
        </is>
      </c>
    </row>
    <row r="2" ht="28" customHeight="1">
      <c r="A2" s="2" t="inlineStr">
        <is>
          <t>Input</t>
        </is>
      </c>
      <c r="B2" s="2" t="inlineStr">
        <is>
          <t>Value</t>
        </is>
      </c>
      <c r="C2" s="2" t="inlineStr">
        <is>
          <t>Source</t>
        </is>
      </c>
    </row>
    <row r="3">
      <c r="A3" s="3" t="inlineStr">
        <is>
          <t>Risk-free rate Rf (10Y SGS, Sep 2026)</t>
        </is>
      </c>
      <c r="B3" s="14" t="n">
        <v>0.023</v>
      </c>
      <c r="C3" s="3" t="inlineStr">
        <is>
          <t>Beansprout 10 Sep 2026 (~2.3%)</t>
        </is>
      </c>
    </row>
    <row r="4">
      <c r="A4" s="5" t="inlineStr">
        <is>
          <t>Beta (REBUILT central; obs 0.57, sector-relev 0.97)</t>
        </is>
      </c>
      <c r="B4" s="10" t="n">
        <v>0.8</v>
      </c>
      <c r="C4" s="5" t="inlineStr">
        <is>
          <t>TradingView 1Y 0.57; Damodaran Transp unlev 0.68</t>
        </is>
      </c>
    </row>
    <row r="5">
      <c r="A5" s="3" t="inlineStr">
        <is>
          <t>Market risk premium, Singapore</t>
        </is>
      </c>
      <c r="B5" s="14" t="n">
        <v>0.0423</v>
      </c>
      <c r="C5" s="3" t="inlineStr">
        <is>
          <t>Damodaran ctry prem 5 Jan 2026</t>
        </is>
      </c>
    </row>
    <row r="6">
      <c r="A6" s="5" t="inlineStr">
        <is>
          <t>Cost of equity = Rf + beta x MRP</t>
        </is>
      </c>
      <c r="B6" s="15">
        <f>B3+B4*B5</f>
        <v/>
      </c>
      <c r="C6" s="5" t="inlineStr">
        <is>
          <t>CAPM</t>
        </is>
      </c>
    </row>
    <row r="7">
      <c r="A7" s="3" t="inlineStr">
        <is>
          <t>Cost of debt pre-tax (9.555 / 349.651)</t>
        </is>
      </c>
      <c r="B7" s="14">
        <f>9.555/349.651</f>
        <v/>
      </c>
      <c r="C7" s="3" t="inlineStr">
        <is>
          <t>AR2025/26 Notes 2.10, 5.2; coupons p47</t>
        </is>
      </c>
    </row>
    <row r="8">
      <c r="A8" s="5" t="inlineStr">
        <is>
          <t>Corporate tax rate</t>
        </is>
      </c>
      <c r="B8" s="15" t="n">
        <v>0.17</v>
      </c>
      <c r="C8" s="5" t="inlineStr">
        <is>
          <t>AR2025/26 Note 2.11 (Singapore 17%)</t>
        </is>
      </c>
    </row>
    <row r="9">
      <c r="A9" s="3" t="inlineStr">
        <is>
          <t>Cost of debt after tax</t>
        </is>
      </c>
      <c r="B9" s="14">
        <f>B7*(1-B8)</f>
        <v/>
      </c>
      <c r="C9" s="3" t="inlineStr"/>
    </row>
    <row r="10">
      <c r="A10" s="5" t="inlineStr">
        <is>
          <t>Equity market value 28 Sep 2026 (S$m)</t>
        </is>
      </c>
      <c r="B10" s="28">
        <f>0.31*2251.267</f>
        <v/>
      </c>
      <c r="C10" s="5" t="inlineStr">
        <is>
          <t>S$0.310 x 2,251.267m shares</t>
        </is>
      </c>
    </row>
    <row r="11">
      <c r="A11" s="3" t="inlineStr">
        <is>
          <t>Debt incl leases (S$m)</t>
        </is>
      </c>
      <c r="B11" s="24">
        <f>349.651+13.133</f>
        <v/>
      </c>
      <c r="C11" s="3" t="inlineStr">
        <is>
          <t>AR2025/26 p107 (borrowings + leases)</t>
        </is>
      </c>
    </row>
    <row r="12">
      <c r="A12" s="5" t="inlineStr">
        <is>
          <t>Weight of equity E/V</t>
        </is>
      </c>
      <c r="B12" s="15">
        <f>B10/(B10+B11)</f>
        <v/>
      </c>
      <c r="C12" s="5" t="inlineStr">
        <is>
          <t>Market-value weights</t>
        </is>
      </c>
    </row>
    <row r="13">
      <c r="A13" s="3" t="inlineStr">
        <is>
          <t>Weight of debt D/V</t>
        </is>
      </c>
      <c r="B13" s="3">
        <f>B11/(B10+B11)</f>
        <v/>
      </c>
      <c r="C13" s="3" t="inlineStr"/>
    </row>
    <row r="14">
      <c r="A14" s="5" t="inlineStr">
        <is>
          <t>WACC (REBUILT central)</t>
        </is>
      </c>
      <c r="B14" s="15">
        <f>B12*B6+B13*B9</f>
        <v/>
      </c>
      <c r="C14" s="5" t="inlineStr"/>
    </row>
    <row r="15">
      <c r="A15" s="3" t="inlineStr">
        <is>
          <t>Terminal growth g (within MAS 1.0-2.0% band)</t>
        </is>
      </c>
      <c r="B15" s="14" t="n">
        <v>0.015</v>
      </c>
      <c r="C15" s="3" t="inlineStr">
        <is>
          <t>MAS Jan 2026 MPS via Ledger Asia</t>
        </is>
      </c>
    </row>
    <row r="16">
      <c r="A16" s="5" t="inlineStr">
        <is>
          <t>WACC at beta 0.57 (observed)</t>
        </is>
      </c>
      <c r="B16" s="15">
        <f>(B3+0.57*B5)*B12+B13*B9</f>
        <v/>
      </c>
      <c r="C16" s="5" t="inlineStr">
        <is>
          <t>Low-beta variant</t>
        </is>
      </c>
    </row>
    <row r="17">
      <c r="A17" s="3" t="inlineStr">
        <is>
          <t>WACC at beta 0.97 (sector relevered)</t>
        </is>
      </c>
      <c r="B17" s="14">
        <f>(B3+0.97*B5)*B12+B13*B9</f>
        <v/>
      </c>
      <c r="C17" s="3" t="inlineStr">
        <is>
          <t>High-beta variant</t>
        </is>
      </c>
    </row>
    <row r="18">
      <c r="A18" s="5" t="inlineStr">
        <is>
          <t>WACC on book weights (E 1,174.7 + D 362.8)</t>
        </is>
      </c>
      <c r="B18" s="15">
        <f>(B3+B4*B5)*1174.714/(1174.714+362.784)+362.784/(1174.714+362.784)*B9</f>
        <v/>
      </c>
      <c r="C18" s="5" t="inlineStr">
        <is>
          <t>Book-weight variant</t>
        </is>
      </c>
    </row>
  </sheetData>
  <pageMargins left="0.75" right="0.75" top="1" bottom="1" header="0.5" footer="0.5"/>
  <headerFooter>
    <oddHeader/>
    <oddFooter>&amp;COxaide • UEN 201806463W • Research, not advice • REF SAMPLE-dcf-audit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 ht="22" customHeight="1">
      <c r="A1" s="1" t="inlineStr">
        <is>
          <t>REBUILT sensitivity grid — equity value per share (S$). Each cell recomputes the DCF; not copied.</t>
        </is>
      </c>
    </row>
    <row r="2" ht="24" customHeight="1">
      <c r="A2" s="16" t="inlineStr">
        <is>
          <t>g \ WACC</t>
        </is>
      </c>
      <c r="B2" s="17" t="n">
        <v>0.035</v>
      </c>
      <c r="C2" s="17" t="n">
        <v>0.04</v>
      </c>
      <c r="D2" s="17" t="n">
        <v>0.0454</v>
      </c>
      <c r="E2" s="17" t="n">
        <v>0.05</v>
      </c>
      <c r="F2" s="17" t="n">
        <v>0.055</v>
      </c>
      <c r="G2" s="17" t="n">
        <v>0.06</v>
      </c>
      <c r="H2" s="17" t="n">
        <v>0.065</v>
      </c>
      <c r="I2" s="17" t="n">
        <v>0.075</v>
      </c>
    </row>
    <row r="3">
      <c r="A3" s="29" t="n">
        <v>0</v>
      </c>
      <c r="B3" s="19">
        <f>(REBUILT_DCF!$C$12/(1+$B$2)^1+REBUILT_DCF!$D$12/(1+$B$2)^2+REBUILT_DCF!$E$12/(1+$B$2)^3+REBUILT_DCF!$F$12/(1+$B$2)^4+REBUILT_DCF!$G$12/(1+$B$2)^5+(REBUILT_DCF!$G$12*(1+$A3)/($B$2-$A3))/(1+$B$2)^5+(-349.651+603.813-13.133-251.504))/2251.267</f>
        <v/>
      </c>
      <c r="C3" s="19">
        <f>(REBUILT_DCF!$C$12/(1+$C$2)^1+REBUILT_DCF!$D$12/(1+$C$2)^2+REBUILT_DCF!$E$12/(1+$C$2)^3+REBUILT_DCF!$F$12/(1+$C$2)^4+REBUILT_DCF!$G$12/(1+$C$2)^5+(REBUILT_DCF!$G$12*(1+$A3)/($C$2-$A3))/(1+$C$2)^5+(-349.651+603.813-13.133-251.504))/2251.267</f>
        <v/>
      </c>
      <c r="D3" s="19">
        <f>(REBUILT_DCF!$C$12/(1+$D$2)^1+REBUILT_DCF!$D$12/(1+$D$2)^2+REBUILT_DCF!$E$12/(1+$D$2)^3+REBUILT_DCF!$F$12/(1+$D$2)^4+REBUILT_DCF!$G$12/(1+$D$2)^5+(REBUILT_DCF!$G$12*(1+$A3)/($D$2-$A3))/(1+$D$2)^5+(-349.651+603.813-13.133-251.504))/2251.267</f>
        <v/>
      </c>
      <c r="E3" s="19">
        <f>(REBUILT_DCF!$C$12/(1+$E$2)^1+REBUILT_DCF!$D$12/(1+$E$2)^2+REBUILT_DCF!$E$12/(1+$E$2)^3+REBUILT_DCF!$F$12/(1+$E$2)^4+REBUILT_DCF!$G$12/(1+$E$2)^5+(REBUILT_DCF!$G$12*(1+$A3)/($E$2-$A3))/(1+$E$2)^5+(-349.651+603.813-13.133-251.504))/2251.267</f>
        <v/>
      </c>
      <c r="F3" s="19">
        <f>(REBUILT_DCF!$C$12/(1+$F$2)^1+REBUILT_DCF!$D$12/(1+$F$2)^2+REBUILT_DCF!$E$12/(1+$F$2)^3+REBUILT_DCF!$F$12/(1+$F$2)^4+REBUILT_DCF!$G$12/(1+$F$2)^5+(REBUILT_DCF!$G$12*(1+$A3)/($F$2-$A3))/(1+$F$2)^5+(-349.651+603.813-13.133-251.504))/2251.267</f>
        <v/>
      </c>
      <c r="G3" s="19">
        <f>(REBUILT_DCF!$C$12/(1+$G$2)^1+REBUILT_DCF!$D$12/(1+$G$2)^2+REBUILT_DCF!$E$12/(1+$G$2)^3+REBUILT_DCF!$F$12/(1+$G$2)^4+REBUILT_DCF!$G$12/(1+$G$2)^5+(REBUILT_DCF!$G$12*(1+$A3)/($G$2-$A3))/(1+$G$2)^5+(-349.651+603.813-13.133-251.504))/2251.267</f>
        <v/>
      </c>
      <c r="H3" s="19">
        <f>(REBUILT_DCF!$C$12/(1+$H$2)^1+REBUILT_DCF!$D$12/(1+$H$2)^2+REBUILT_DCF!$E$12/(1+$H$2)^3+REBUILT_DCF!$F$12/(1+$H$2)^4+REBUILT_DCF!$G$12/(1+$H$2)^5+(REBUILT_DCF!$G$12*(1+$A3)/($H$2-$A3))/(1+$H$2)^5+(-349.651+603.813-13.133-251.504))/2251.267</f>
        <v/>
      </c>
      <c r="I3" s="19">
        <f>(REBUILT_DCF!$C$12/(1+$I$2)^1+REBUILT_DCF!$D$12/(1+$I$2)^2+REBUILT_DCF!$E$12/(1+$I$2)^3+REBUILT_DCF!$F$12/(1+$I$2)^4+REBUILT_DCF!$G$12/(1+$I$2)^5+(REBUILT_DCF!$G$12*(1+$A3)/($I$2-$A3))/(1+$I$2)^5+(-349.651+603.813-13.133-251.504))/2251.267</f>
        <v/>
      </c>
    </row>
    <row r="4">
      <c r="A4" s="30" t="n">
        <v>0.01</v>
      </c>
      <c r="B4" s="21">
        <f>(REBUILT_DCF!$C$12/(1+$B$2)^1+REBUILT_DCF!$D$12/(1+$B$2)^2+REBUILT_DCF!$E$12/(1+$B$2)^3+REBUILT_DCF!$F$12/(1+$B$2)^4+REBUILT_DCF!$G$12/(1+$B$2)^5+(REBUILT_DCF!$G$12*(1+$A4)/($B$2-$A4))/(1+$B$2)^5+(-349.651+603.813-13.133-251.504))/2251.267</f>
        <v/>
      </c>
      <c r="C4" s="21">
        <f>(REBUILT_DCF!$C$12/(1+$C$2)^1+REBUILT_DCF!$D$12/(1+$C$2)^2+REBUILT_DCF!$E$12/(1+$C$2)^3+REBUILT_DCF!$F$12/(1+$C$2)^4+REBUILT_DCF!$G$12/(1+$C$2)^5+(REBUILT_DCF!$G$12*(1+$A4)/($C$2-$A4))/(1+$C$2)^5+(-349.651+603.813-13.133-251.504))/2251.267</f>
        <v/>
      </c>
      <c r="D4" s="21">
        <f>(REBUILT_DCF!$C$12/(1+$D$2)^1+REBUILT_DCF!$D$12/(1+$D$2)^2+REBUILT_DCF!$E$12/(1+$D$2)^3+REBUILT_DCF!$F$12/(1+$D$2)^4+REBUILT_DCF!$G$12/(1+$D$2)^5+(REBUILT_DCF!$G$12*(1+$A4)/($D$2-$A4))/(1+$D$2)^5+(-349.651+603.813-13.133-251.504))/2251.267</f>
        <v/>
      </c>
      <c r="E4" s="21">
        <f>(REBUILT_DCF!$C$12/(1+$E$2)^1+REBUILT_DCF!$D$12/(1+$E$2)^2+REBUILT_DCF!$E$12/(1+$E$2)^3+REBUILT_DCF!$F$12/(1+$E$2)^4+REBUILT_DCF!$G$12/(1+$E$2)^5+(REBUILT_DCF!$G$12*(1+$A4)/($E$2-$A4))/(1+$E$2)^5+(-349.651+603.813-13.133-251.504))/2251.267</f>
        <v/>
      </c>
      <c r="F4" s="21">
        <f>(REBUILT_DCF!$C$12/(1+$F$2)^1+REBUILT_DCF!$D$12/(1+$F$2)^2+REBUILT_DCF!$E$12/(1+$F$2)^3+REBUILT_DCF!$F$12/(1+$F$2)^4+REBUILT_DCF!$G$12/(1+$F$2)^5+(REBUILT_DCF!$G$12*(1+$A4)/($F$2-$A4))/(1+$F$2)^5+(-349.651+603.813-13.133-251.504))/2251.267</f>
        <v/>
      </c>
      <c r="G4" s="21">
        <f>(REBUILT_DCF!$C$12/(1+$G$2)^1+REBUILT_DCF!$D$12/(1+$G$2)^2+REBUILT_DCF!$E$12/(1+$G$2)^3+REBUILT_DCF!$F$12/(1+$G$2)^4+REBUILT_DCF!$G$12/(1+$G$2)^5+(REBUILT_DCF!$G$12*(1+$A4)/($G$2-$A4))/(1+$G$2)^5+(-349.651+603.813-13.133-251.504))/2251.267</f>
        <v/>
      </c>
      <c r="H4" s="21">
        <f>(REBUILT_DCF!$C$12/(1+$H$2)^1+REBUILT_DCF!$D$12/(1+$H$2)^2+REBUILT_DCF!$E$12/(1+$H$2)^3+REBUILT_DCF!$F$12/(1+$H$2)^4+REBUILT_DCF!$G$12/(1+$H$2)^5+(REBUILT_DCF!$G$12*(1+$A4)/($H$2-$A4))/(1+$H$2)^5+(-349.651+603.813-13.133-251.504))/2251.267</f>
        <v/>
      </c>
      <c r="I4" s="21">
        <f>(REBUILT_DCF!$C$12/(1+$I$2)^1+REBUILT_DCF!$D$12/(1+$I$2)^2+REBUILT_DCF!$E$12/(1+$I$2)^3+REBUILT_DCF!$F$12/(1+$I$2)^4+REBUILT_DCF!$G$12/(1+$I$2)^5+(REBUILT_DCF!$G$12*(1+$A4)/($I$2-$A4))/(1+$I$2)^5+(-349.651+603.813-13.133-251.504))/2251.267</f>
        <v/>
      </c>
    </row>
    <row r="5">
      <c r="A5" s="29" t="n">
        <v>0.015</v>
      </c>
      <c r="B5" s="19">
        <f>(REBUILT_DCF!$C$12/(1+$B$2)^1+REBUILT_DCF!$D$12/(1+$B$2)^2+REBUILT_DCF!$E$12/(1+$B$2)^3+REBUILT_DCF!$F$12/(1+$B$2)^4+REBUILT_DCF!$G$12/(1+$B$2)^5+(REBUILT_DCF!$G$12*(1+$A5)/($B$2-$A5))/(1+$B$2)^5+(-349.651+603.813-13.133-251.504))/2251.267</f>
        <v/>
      </c>
      <c r="C5" s="19">
        <f>(REBUILT_DCF!$C$12/(1+$C$2)^1+REBUILT_DCF!$D$12/(1+$C$2)^2+REBUILT_DCF!$E$12/(1+$C$2)^3+REBUILT_DCF!$F$12/(1+$C$2)^4+REBUILT_DCF!$G$12/(1+$C$2)^5+(REBUILT_DCF!$G$12*(1+$A5)/($C$2-$A5))/(1+$C$2)^5+(-349.651+603.813-13.133-251.504))/2251.267</f>
        <v/>
      </c>
      <c r="D5" s="22">
        <f>(REBUILT_DCF!$C$12/(1+$D$2)^1+REBUILT_DCF!$D$12/(1+$D$2)^2+REBUILT_DCF!$E$12/(1+$D$2)^3+REBUILT_DCF!$F$12/(1+$D$2)^4+REBUILT_DCF!$G$12/(1+$D$2)^5+(REBUILT_DCF!$G$12*(1+$A5)/($D$2-$A5))/(1+$D$2)^5+(-349.651+603.813-13.133-251.504))/2251.267</f>
        <v/>
      </c>
      <c r="E5" s="19">
        <f>(REBUILT_DCF!$C$12/(1+$E$2)^1+REBUILT_DCF!$D$12/(1+$E$2)^2+REBUILT_DCF!$E$12/(1+$E$2)^3+REBUILT_DCF!$F$12/(1+$E$2)^4+REBUILT_DCF!$G$12/(1+$E$2)^5+(REBUILT_DCF!$G$12*(1+$A5)/($E$2-$A5))/(1+$E$2)^5+(-349.651+603.813-13.133-251.504))/2251.267</f>
        <v/>
      </c>
      <c r="F5" s="19">
        <f>(REBUILT_DCF!$C$12/(1+$F$2)^1+REBUILT_DCF!$D$12/(1+$F$2)^2+REBUILT_DCF!$E$12/(1+$F$2)^3+REBUILT_DCF!$F$12/(1+$F$2)^4+REBUILT_DCF!$G$12/(1+$F$2)^5+(REBUILT_DCF!$G$12*(1+$A5)/($F$2-$A5))/(1+$F$2)^5+(-349.651+603.813-13.133-251.504))/2251.267</f>
        <v/>
      </c>
      <c r="G5" s="19">
        <f>(REBUILT_DCF!$C$12/(1+$G$2)^1+REBUILT_DCF!$D$12/(1+$G$2)^2+REBUILT_DCF!$E$12/(1+$G$2)^3+REBUILT_DCF!$F$12/(1+$G$2)^4+REBUILT_DCF!$G$12/(1+$G$2)^5+(REBUILT_DCF!$G$12*(1+$A5)/($G$2-$A5))/(1+$G$2)^5+(-349.651+603.813-13.133-251.504))/2251.267</f>
        <v/>
      </c>
      <c r="H5" s="19">
        <f>(REBUILT_DCF!$C$12/(1+$H$2)^1+REBUILT_DCF!$D$12/(1+$H$2)^2+REBUILT_DCF!$E$12/(1+$H$2)^3+REBUILT_DCF!$F$12/(1+$H$2)^4+REBUILT_DCF!$G$12/(1+$H$2)^5+(REBUILT_DCF!$G$12*(1+$A5)/($H$2-$A5))/(1+$H$2)^5+(-349.651+603.813-13.133-251.504))/2251.267</f>
        <v/>
      </c>
      <c r="I5" s="19">
        <f>(REBUILT_DCF!$C$12/(1+$I$2)^1+REBUILT_DCF!$D$12/(1+$I$2)^2+REBUILT_DCF!$E$12/(1+$I$2)^3+REBUILT_DCF!$F$12/(1+$I$2)^4+REBUILT_DCF!$G$12/(1+$I$2)^5+(REBUILT_DCF!$G$12*(1+$A5)/($I$2-$A5))/(1+$I$2)^5+(-349.651+603.813-13.133-251.504))/2251.267</f>
        <v/>
      </c>
    </row>
    <row r="6">
      <c r="A6" s="30" t="n">
        <v>0.02</v>
      </c>
      <c r="B6" s="21">
        <f>(REBUILT_DCF!$C$12/(1+$B$2)^1+REBUILT_DCF!$D$12/(1+$B$2)^2+REBUILT_DCF!$E$12/(1+$B$2)^3+REBUILT_DCF!$F$12/(1+$B$2)^4+REBUILT_DCF!$G$12/(1+$B$2)^5+(REBUILT_DCF!$G$12*(1+$A6)/($B$2-$A6))/(1+$B$2)^5+(-349.651+603.813-13.133-251.504))/2251.267</f>
        <v/>
      </c>
      <c r="C6" s="21">
        <f>(REBUILT_DCF!$C$12/(1+$C$2)^1+REBUILT_DCF!$D$12/(1+$C$2)^2+REBUILT_DCF!$E$12/(1+$C$2)^3+REBUILT_DCF!$F$12/(1+$C$2)^4+REBUILT_DCF!$G$12/(1+$C$2)^5+(REBUILT_DCF!$G$12*(1+$A6)/($C$2-$A6))/(1+$C$2)^5+(-349.651+603.813-13.133-251.504))/2251.267</f>
        <v/>
      </c>
      <c r="D6" s="21">
        <f>(REBUILT_DCF!$C$12/(1+$D$2)^1+REBUILT_DCF!$D$12/(1+$D$2)^2+REBUILT_DCF!$E$12/(1+$D$2)^3+REBUILT_DCF!$F$12/(1+$D$2)^4+REBUILT_DCF!$G$12/(1+$D$2)^5+(REBUILT_DCF!$G$12*(1+$A6)/($D$2-$A6))/(1+$D$2)^5+(-349.651+603.813-13.133-251.504))/2251.267</f>
        <v/>
      </c>
      <c r="E6" s="21">
        <f>(REBUILT_DCF!$C$12/(1+$E$2)^1+REBUILT_DCF!$D$12/(1+$E$2)^2+REBUILT_DCF!$E$12/(1+$E$2)^3+REBUILT_DCF!$F$12/(1+$E$2)^4+REBUILT_DCF!$G$12/(1+$E$2)^5+(REBUILT_DCF!$G$12*(1+$A6)/($E$2-$A6))/(1+$E$2)^5+(-349.651+603.813-13.133-251.504))/2251.267</f>
        <v/>
      </c>
      <c r="F6" s="21">
        <f>(REBUILT_DCF!$C$12/(1+$F$2)^1+REBUILT_DCF!$D$12/(1+$F$2)^2+REBUILT_DCF!$E$12/(1+$F$2)^3+REBUILT_DCF!$F$12/(1+$F$2)^4+REBUILT_DCF!$G$12/(1+$F$2)^5+(REBUILT_DCF!$G$12*(1+$A6)/($F$2-$A6))/(1+$F$2)^5+(-349.651+603.813-13.133-251.504))/2251.267</f>
        <v/>
      </c>
      <c r="G6" s="21">
        <f>(REBUILT_DCF!$C$12/(1+$G$2)^1+REBUILT_DCF!$D$12/(1+$G$2)^2+REBUILT_DCF!$E$12/(1+$G$2)^3+REBUILT_DCF!$F$12/(1+$G$2)^4+REBUILT_DCF!$G$12/(1+$G$2)^5+(REBUILT_DCF!$G$12*(1+$A6)/($G$2-$A6))/(1+$G$2)^5+(-349.651+603.813-13.133-251.504))/2251.267</f>
        <v/>
      </c>
      <c r="H6" s="21">
        <f>(REBUILT_DCF!$C$12/(1+$H$2)^1+REBUILT_DCF!$D$12/(1+$H$2)^2+REBUILT_DCF!$E$12/(1+$H$2)^3+REBUILT_DCF!$F$12/(1+$H$2)^4+REBUILT_DCF!$G$12/(1+$H$2)^5+(REBUILT_DCF!$G$12*(1+$A6)/($H$2-$A6))/(1+$H$2)^5+(-349.651+603.813-13.133-251.504))/2251.267</f>
        <v/>
      </c>
      <c r="I6" s="21">
        <f>(REBUILT_DCF!$C$12/(1+$I$2)^1+REBUILT_DCF!$D$12/(1+$I$2)^2+REBUILT_DCF!$E$12/(1+$I$2)^3+REBUILT_DCF!$F$12/(1+$I$2)^4+REBUILT_DCF!$G$12/(1+$I$2)^5+(REBUILT_DCF!$G$12*(1+$A6)/($I$2-$A6))/(1+$I$2)^5+(-349.651+603.813-13.133-251.504))/2251.267</f>
        <v/>
      </c>
    </row>
    <row r="7">
      <c r="A7" s="29" t="n">
        <v>0.025</v>
      </c>
      <c r="B7" s="19">
        <f>(REBUILT_DCF!$C$12/(1+$B$2)^1+REBUILT_DCF!$D$12/(1+$B$2)^2+REBUILT_DCF!$E$12/(1+$B$2)^3+REBUILT_DCF!$F$12/(1+$B$2)^4+REBUILT_DCF!$G$12/(1+$B$2)^5+(REBUILT_DCF!$G$12*(1+$A7)/($B$2-$A7))/(1+$B$2)^5+(-349.651+603.813-13.133-251.504))/2251.267</f>
        <v/>
      </c>
      <c r="C7" s="19">
        <f>(REBUILT_DCF!$C$12/(1+$C$2)^1+REBUILT_DCF!$D$12/(1+$C$2)^2+REBUILT_DCF!$E$12/(1+$C$2)^3+REBUILT_DCF!$F$12/(1+$C$2)^4+REBUILT_DCF!$G$12/(1+$C$2)^5+(REBUILT_DCF!$G$12*(1+$A7)/($C$2-$A7))/(1+$C$2)^5+(-349.651+603.813-13.133-251.504))/2251.267</f>
        <v/>
      </c>
      <c r="D7" s="19">
        <f>(REBUILT_DCF!$C$12/(1+$D$2)^1+REBUILT_DCF!$D$12/(1+$D$2)^2+REBUILT_DCF!$E$12/(1+$D$2)^3+REBUILT_DCF!$F$12/(1+$D$2)^4+REBUILT_DCF!$G$12/(1+$D$2)^5+(REBUILT_DCF!$G$12*(1+$A7)/($D$2-$A7))/(1+$D$2)^5+(-349.651+603.813-13.133-251.504))/2251.267</f>
        <v/>
      </c>
      <c r="E7" s="19">
        <f>(REBUILT_DCF!$C$12/(1+$E$2)^1+REBUILT_DCF!$D$12/(1+$E$2)^2+REBUILT_DCF!$E$12/(1+$E$2)^3+REBUILT_DCF!$F$12/(1+$E$2)^4+REBUILT_DCF!$G$12/(1+$E$2)^5+(REBUILT_DCF!$G$12*(1+$A7)/($E$2-$A7))/(1+$E$2)^5+(-349.651+603.813-13.133-251.504))/2251.267</f>
        <v/>
      </c>
      <c r="F7" s="19">
        <f>(REBUILT_DCF!$C$12/(1+$F$2)^1+REBUILT_DCF!$D$12/(1+$F$2)^2+REBUILT_DCF!$E$12/(1+$F$2)^3+REBUILT_DCF!$F$12/(1+$F$2)^4+REBUILT_DCF!$G$12/(1+$F$2)^5+(REBUILT_DCF!$G$12*(1+$A7)/($F$2-$A7))/(1+$F$2)^5+(-349.651+603.813-13.133-251.504))/2251.267</f>
        <v/>
      </c>
      <c r="G7" s="19">
        <f>(REBUILT_DCF!$C$12/(1+$G$2)^1+REBUILT_DCF!$D$12/(1+$G$2)^2+REBUILT_DCF!$E$12/(1+$G$2)^3+REBUILT_DCF!$F$12/(1+$G$2)^4+REBUILT_DCF!$G$12/(1+$G$2)^5+(REBUILT_DCF!$G$12*(1+$A7)/($G$2-$A7))/(1+$G$2)^5+(-349.651+603.813-13.133-251.504))/2251.267</f>
        <v/>
      </c>
      <c r="H7" s="19">
        <f>(REBUILT_DCF!$C$12/(1+$H$2)^1+REBUILT_DCF!$D$12/(1+$H$2)^2+REBUILT_DCF!$E$12/(1+$H$2)^3+REBUILT_DCF!$F$12/(1+$H$2)^4+REBUILT_DCF!$G$12/(1+$H$2)^5+(REBUILT_DCF!$G$12*(1+$A7)/($H$2-$A7))/(1+$H$2)^5+(-349.651+603.813-13.133-251.504))/2251.267</f>
        <v/>
      </c>
      <c r="I7" s="19">
        <f>(REBUILT_DCF!$C$12/(1+$I$2)^1+REBUILT_DCF!$D$12/(1+$I$2)^2+REBUILT_DCF!$E$12/(1+$I$2)^3+REBUILT_DCF!$F$12/(1+$I$2)^4+REBUILT_DCF!$G$12/(1+$I$2)^5+(REBUILT_DCF!$G$12*(1+$A7)/($I$2-$A7))/(1+$I$2)^5+(-349.651+603.813-13.133-251.504))/2251.267</f>
        <v/>
      </c>
    </row>
  </sheetData>
  <pageMargins left="0.75" right="0.75" top="1" bottom="1" header="0.5" footer="0.5"/>
  <headerFooter>
    <oddHeader/>
    <oddFooter>&amp;COxaide • UEN 201806463W • Research, not advice • REF SAMPLE-dcf-audit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30" customWidth="1" min="3" max="3"/>
    <col width="24" customWidth="1" min="4" max="4"/>
    <col width="38" customWidth="1" min="5" max="5"/>
    <col width="20" customWidth="1" min="6" max="6"/>
  </cols>
  <sheetData>
    <row r="1" ht="22" customHeight="1">
      <c r="A1" s="1" t="inlineStr">
        <is>
          <t>Input audit — every REBUILT input traced to filing + page (accessed 28 Sep 2026).</t>
        </is>
      </c>
    </row>
    <row r="2" ht="28" customHeight="1">
      <c r="A2" s="2" t="inlineStr">
        <is>
          <t>#</t>
        </is>
      </c>
      <c r="B2" s="2" t="inlineStr">
        <is>
          <t>Input</t>
        </is>
      </c>
      <c r="C2" s="2" t="inlineStr">
        <is>
          <t>Value</t>
        </is>
      </c>
      <c r="D2" s="2" t="inlineStr">
        <is>
          <t>Filing</t>
        </is>
      </c>
      <c r="E2" s="2" t="inlineStr">
        <is>
          <t>Page / note</t>
        </is>
      </c>
      <c r="F2" s="2" t="inlineStr">
        <is>
          <t>Used in</t>
        </is>
      </c>
    </row>
    <row r="3">
      <c r="A3" s="5" t="n">
        <v>1</v>
      </c>
      <c r="B3" s="5" t="inlineStr">
        <is>
          <t>FY26 continuing revenue</t>
        </is>
      </c>
      <c r="C3" s="5" t="inlineStr">
        <is>
          <t>S$376.052m</t>
        </is>
      </c>
      <c r="D3" s="5" t="inlineStr">
        <is>
          <t>SingPost AR2025/26</t>
        </is>
      </c>
      <c r="E3" s="5" t="inlineStr">
        <is>
          <t>p42, p105 (income stmt)</t>
        </is>
      </c>
      <c r="F3" s="5" t="inlineStr">
        <is>
          <t>REBUILT_DCF!B3</t>
        </is>
      </c>
    </row>
    <row r="4">
      <c r="A4" s="3" t="n">
        <v>2</v>
      </c>
      <c r="B4" s="3" t="inlineStr">
        <is>
          <t>FY26 continuing operating profit</t>
        </is>
      </c>
      <c r="C4" s="3" t="inlineStr">
        <is>
          <t>S$11.772m</t>
        </is>
      </c>
      <c r="D4" s="3" t="inlineStr">
        <is>
          <t>SingPost AR2025/26</t>
        </is>
      </c>
      <c r="E4" s="3" t="inlineStr">
        <is>
          <t>p42, p105</t>
        </is>
      </c>
      <c r="F4" s="3" t="inlineStr">
        <is>
          <t>REBUILT_DCF!B6</t>
        </is>
      </c>
    </row>
    <row r="5">
      <c r="A5" s="5" t="n">
        <v>3</v>
      </c>
      <c r="B5" s="5" t="inlineStr">
        <is>
          <t>FY26 continuing D&amp;A</t>
        </is>
      </c>
      <c r="C5" s="5" t="inlineStr">
        <is>
          <t>S$30.746m</t>
        </is>
      </c>
      <c r="D5" s="5" t="inlineStr">
        <is>
          <t>SingPost AR2025/26</t>
        </is>
      </c>
      <c r="E5" s="5" t="inlineStr">
        <is>
          <t>Note 2.6, p131</t>
        </is>
      </c>
      <c r="F5" s="5" t="inlineStr">
        <is>
          <t>REBUILT_DCF!B9</t>
        </is>
      </c>
    </row>
    <row r="6">
      <c r="A6" s="3" t="n">
        <v>4</v>
      </c>
      <c r="B6" s="3" t="inlineStr">
        <is>
          <t>FY26 cash capex (group; disc invest ~0)</t>
        </is>
      </c>
      <c r="C6" s="3" t="inlineStr">
        <is>
          <t>S$15.712m</t>
        </is>
      </c>
      <c r="D6" s="3" t="inlineStr">
        <is>
          <t>SingPost AR2025/26</t>
        </is>
      </c>
      <c r="E6" s="3" t="inlineStr">
        <is>
          <t>p46, p111; Note 2.14</t>
        </is>
      </c>
      <c r="F6" s="3" t="inlineStr">
        <is>
          <t>REBUILT_DCF!B10</t>
        </is>
      </c>
    </row>
    <row r="7">
      <c r="A7" s="5" t="n">
        <v>5</v>
      </c>
      <c r="B7" s="5" t="inlineStr">
        <is>
          <t>Corporate tax rate</t>
        </is>
      </c>
      <c r="C7" s="5" t="inlineStr">
        <is>
          <t>17%</t>
        </is>
      </c>
      <c r="D7" s="5" t="inlineStr">
        <is>
          <t>SingPost AR2025/26</t>
        </is>
      </c>
      <c r="E7" s="5" t="inlineStr">
        <is>
          <t>Note 2.11, p134</t>
        </is>
      </c>
      <c r="F7" s="5" t="inlineStr">
        <is>
          <t>WACC!B8; DCF tax</t>
        </is>
      </c>
    </row>
    <row r="8">
      <c r="A8" s="3" t="n">
        <v>6</v>
      </c>
      <c r="B8" s="3" t="inlineStr">
        <is>
          <t>Cash + synthetic deposits 31 Mar 2026</t>
        </is>
      </c>
      <c r="C8" s="3" t="inlineStr">
        <is>
          <t>S$603.813m</t>
        </is>
      </c>
      <c r="D8" s="3" t="inlineStr">
        <is>
          <t>SingPost AR2025/26</t>
        </is>
      </c>
      <c r="E8" s="3" t="inlineStr">
        <is>
          <t>p47, p107</t>
        </is>
      </c>
      <c r="F8" s="3" t="inlineStr">
        <is>
          <t>REBUILT_DCF!B21</t>
        </is>
      </c>
    </row>
    <row r="9">
      <c r="A9" s="5" t="n">
        <v>7</v>
      </c>
      <c r="B9" s="5" t="inlineStr">
        <is>
          <t>Borrowings 31 Mar 2026</t>
        </is>
      </c>
      <c r="C9" s="5" t="inlineStr">
        <is>
          <t>S$349.651m</t>
        </is>
      </c>
      <c r="D9" s="5" t="inlineStr">
        <is>
          <t>SingPost AR2025/26</t>
        </is>
      </c>
      <c r="E9" s="5" t="inlineStr">
        <is>
          <t>p47, p107; Note 5.2</t>
        </is>
      </c>
      <c r="F9" s="5" t="inlineStr">
        <is>
          <t>REBUILT_DCF!B20</t>
        </is>
      </c>
    </row>
    <row r="10">
      <c r="A10" s="3" t="n">
        <v>8</v>
      </c>
      <c r="B10" s="3" t="inlineStr">
        <is>
          <t>Lease liabilities 31 Mar 2026</t>
        </is>
      </c>
      <c r="C10" s="3" t="inlineStr">
        <is>
          <t>S$13.133m</t>
        </is>
      </c>
      <c r="D10" s="3" t="inlineStr">
        <is>
          <t>SingPost AR2025/26</t>
        </is>
      </c>
      <c r="E10" s="3" t="inlineStr">
        <is>
          <t>p107 (2.143+10.990)</t>
        </is>
      </c>
      <c r="F10" s="3" t="inlineStr">
        <is>
          <t>REBUILT_DCF!B22</t>
        </is>
      </c>
    </row>
    <row r="11">
      <c r="A11" s="5" t="n">
        <v>9</v>
      </c>
      <c r="B11" s="5" t="inlineStr">
        <is>
          <t>Perpetual securities at par</t>
        </is>
      </c>
      <c r="C11" s="5" t="inlineStr">
        <is>
          <t>S$251.504m</t>
        </is>
      </c>
      <c r="D11" s="5" t="inlineStr">
        <is>
          <t>SingPost AR2025/26</t>
        </is>
      </c>
      <c r="E11" s="5" t="inlineStr">
        <is>
          <t>Note 5.5; 4.35% to Jul-27 reset</t>
        </is>
      </c>
      <c r="F11" s="5" t="inlineStr">
        <is>
          <t>REBUILT_DCF!B23</t>
        </is>
      </c>
    </row>
    <row r="12">
      <c r="A12" s="3" t="n">
        <v>10</v>
      </c>
      <c r="B12" s="3" t="inlineStr">
        <is>
          <t>Shares outstanding 31 Mar 2026</t>
        </is>
      </c>
      <c r="C12" s="3" t="inlineStr">
        <is>
          <t>2,251.267m</t>
        </is>
      </c>
      <c r="D12" s="3" t="inlineStr">
        <is>
          <t>SingPost AR2025/26</t>
        </is>
      </c>
      <c r="E12" s="3" t="inlineStr">
        <is>
          <t>Note 5.3 (2,275.089-23.822)</t>
        </is>
      </c>
      <c r="F12" s="3" t="inlineStr">
        <is>
          <t>REBUILT_DCF!B25</t>
        </is>
      </c>
    </row>
    <row r="13">
      <c r="A13" s="5" t="n">
        <v>11</v>
      </c>
      <c r="B13" s="5" t="inlineStr">
        <is>
          <t>Market price 28 Sep 2026</t>
        </is>
      </c>
      <c r="C13" s="5" t="inlineStr">
        <is>
          <t>S$0.310</t>
        </is>
      </c>
      <c r="D13" s="5" t="inlineStr">
        <is>
          <t>SingPost investor relations</t>
        </is>
      </c>
      <c r="E13" s="5" t="inlineStr">
        <is>
          <t>Stock Performance page</t>
        </is>
      </c>
      <c r="F13" s="5" t="inlineStr">
        <is>
          <t>REBUILT_DCF!B27</t>
        </is>
      </c>
    </row>
    <row r="14">
      <c r="A14" s="3" t="n">
        <v>12</v>
      </c>
      <c r="B14" s="3" t="inlineStr">
        <is>
          <t>Market capitalisation</t>
        </is>
      </c>
      <c r="C14" s="3" t="inlineStr">
        <is>
          <t>S$708.6m (provider calc)</t>
        </is>
      </c>
      <c r="D14" s="3" t="inlineStr">
        <is>
          <t>TradingView SGX:S08</t>
        </is>
      </c>
      <c r="E14" s="3" t="inlineStr">
        <is>
          <t>Key stats (read 28 Sep 2026)</t>
        </is>
      </c>
      <c r="F14" s="3" t="inlineStr">
        <is>
          <t>WACC weights check</t>
        </is>
      </c>
    </row>
    <row r="15">
      <c r="A15" s="5" t="n">
        <v>13</v>
      </c>
      <c r="B15" s="5" t="inlineStr">
        <is>
          <t>Observed beta 1Y</t>
        </is>
      </c>
      <c r="C15" s="5" t="inlineStr">
        <is>
          <t>0.57</t>
        </is>
      </c>
      <c r="D15" s="5" t="inlineStr">
        <is>
          <t>TradingView SGX:S08</t>
        </is>
      </c>
      <c r="E15" s="5" t="inlineStr">
        <is>
          <t>Key stats (read 28 Sep 2026)</t>
        </is>
      </c>
      <c r="F15" s="5" t="inlineStr">
        <is>
          <t>WACC!B4 range</t>
        </is>
      </c>
    </row>
    <row r="16">
      <c r="A16" s="3" t="n">
        <v>14</v>
      </c>
      <c r="B16" s="3" t="inlineStr">
        <is>
          <t>Sector unlevered beta, Transportation</t>
        </is>
      </c>
      <c r="C16" s="3" t="inlineStr">
        <is>
          <t>0.68 (19 firms)</t>
        </is>
      </c>
      <c r="D16" s="3" t="inlineStr">
        <is>
          <t>Damodaran NYU Stern</t>
        </is>
      </c>
      <c r="E16" s="3" t="inlineStr">
        <is>
          <t>Betas by Sector, Jan 2026</t>
        </is>
      </c>
      <c r="F16" s="3" t="inlineStr">
        <is>
          <t>WACC!B4 range</t>
        </is>
      </c>
    </row>
    <row r="17">
      <c r="A17" s="5" t="n">
        <v>15</v>
      </c>
      <c r="B17" s="5" t="inlineStr">
        <is>
          <t>Risk-free rate (10Y SGS)</t>
        </is>
      </c>
      <c r="C17" s="5" t="inlineStr">
        <is>
          <t>~2.3%</t>
        </is>
      </c>
      <c r="D17" s="5" t="inlineStr">
        <is>
          <t>Beansprout</t>
        </is>
      </c>
      <c r="E17" s="5" t="inlineStr">
        <is>
          <t>10 Sep 2026: 2.36% on 9 Sep</t>
        </is>
      </c>
      <c r="F17" s="5" t="inlineStr">
        <is>
          <t>WACC!B3</t>
        </is>
      </c>
    </row>
    <row r="18">
      <c r="A18" s="3" t="n">
        <v>16</v>
      </c>
      <c r="B18" s="3" t="inlineStr">
        <is>
          <t>Equity risk premium, Singapore</t>
        </is>
      </c>
      <c r="C18" s="3" t="inlineStr">
        <is>
          <t>4.23%</t>
        </is>
      </c>
      <c r="D18" s="3" t="inlineStr">
        <is>
          <t>Damodaran NYU Stern</t>
        </is>
      </c>
      <c r="E18" s="3" t="inlineStr">
        <is>
          <t>Country risk premia, 5 Jan 2026</t>
        </is>
      </c>
      <c r="F18" s="3" t="inlineStr">
        <is>
          <t>WACC!B5</t>
        </is>
      </c>
    </row>
    <row r="19">
      <c r="A19" s="5" t="n">
        <v>17</v>
      </c>
      <c r="B19" s="5" t="inlineStr">
        <is>
          <t>Pre-tax cost of debt</t>
        </is>
      </c>
      <c r="C19" s="5" t="inlineStr">
        <is>
          <t>2.73%</t>
        </is>
      </c>
      <c r="D19" s="5" t="inlineStr">
        <is>
          <t>SingPost AR2025/26</t>
        </is>
      </c>
      <c r="E19" s="5" t="inlineStr">
        <is>
          <t>Note 2.10 (9.555); coupons p47</t>
        </is>
      </c>
      <c r="F19" s="5" t="inlineStr">
        <is>
          <t>WACC!B7</t>
        </is>
      </c>
    </row>
    <row r="20">
      <c r="A20" s="3" t="n">
        <v>18</v>
      </c>
      <c r="B20" s="3" t="inlineStr">
        <is>
          <t>Terminal growth g</t>
        </is>
      </c>
      <c r="C20" s="3" t="inlineStr">
        <is>
          <t>1.5%</t>
        </is>
      </c>
      <c r="D20" s="3" t="inlineStr">
        <is>
          <t>MAS Jan 2026 MPS</t>
        </is>
      </c>
      <c r="E20" s="3" t="inlineStr">
        <is>
          <t>Core inflation 1.0-2.0% (Ledger Asia)</t>
        </is>
      </c>
      <c r="F20" s="3" t="inlineStr">
        <is>
          <t>WACC!B15; grid</t>
        </is>
      </c>
    </row>
    <row r="21">
      <c r="A21" s="5" t="n">
        <v>19</v>
      </c>
      <c r="B21" s="5" t="inlineStr">
        <is>
          <t>Investment property fair value</t>
        </is>
      </c>
      <c r="C21" s="5" t="inlineStr">
        <is>
          <t>S$1,034.904m</t>
        </is>
      </c>
      <c r="D21" s="5" t="inlineStr">
        <is>
          <t>SingPost AR2025/26</t>
        </is>
      </c>
      <c r="E21" s="5" t="inlineStr">
        <is>
          <t>Note 3.6, p144-148</t>
        </is>
      </c>
      <c r="F21" s="5" t="inlineStr">
        <is>
          <t>Cross-checks</t>
        </is>
      </c>
    </row>
    <row r="22">
      <c r="A22" s="3" t="n">
        <v>20</v>
      </c>
      <c r="B22" s="3" t="inlineStr">
        <is>
          <t>Property valuer DCF discount</t>
        </is>
      </c>
      <c r="C22" s="3" t="inlineStr">
        <is>
          <t>6.50-8.00%</t>
        </is>
      </c>
      <c r="D22" s="3" t="inlineStr">
        <is>
          <t>SingPost AR2025/26</t>
        </is>
      </c>
      <c r="E22" s="3" t="inlineStr">
        <is>
          <t>Note 3.6, p148 (Level 3)</t>
        </is>
      </c>
      <c r="F22" s="3" t="inlineStr">
        <is>
          <t>WACC floor debate</t>
        </is>
      </c>
    </row>
    <row r="23">
      <c r="A23" s="5" t="n">
        <v>21</v>
      </c>
      <c r="B23" s="5" t="inlineStr">
        <is>
          <t>FHPL+RHH sale: S$177.9m, gain S$10.5m</t>
        </is>
      </c>
      <c r="C23" s="5" t="inlineStr">
        <is>
          <t>Completed 22-23 Jul 2025</t>
        </is>
      </c>
      <c r="D23" s="5" t="inlineStr">
        <is>
          <t>SGX announcement</t>
        </is>
      </c>
      <c r="E23" s="5" t="inlineStr">
        <is>
          <t>Filed 22 Jul 2025 (SGX FileID 852647)</t>
        </is>
      </c>
      <c r="F23" s="5" t="inlineStr">
        <is>
          <t>Perimeter</t>
        </is>
      </c>
    </row>
    <row r="24">
      <c r="A24" s="3" t="n">
        <v>22</v>
      </c>
      <c r="B24" s="3" t="inlineStr">
        <is>
          <t>Q1 FY26/27 op profit S$4.1m (+55.2%)</t>
        </is>
      </c>
      <c r="C24" s="3" t="inlineStr">
        <is>
          <t>Rev 93.4m; net cash 314.7m</t>
        </is>
      </c>
      <c r="D24" s="3" t="inlineStr">
        <is>
          <t>SGX business update</t>
        </is>
      </c>
      <c r="E24" s="3" t="inlineStr">
        <is>
          <t>Filed 26 Aug 2026, pp1-3</t>
        </is>
      </c>
      <c r="F24" s="3" t="inlineStr">
        <is>
          <t>Outlook context</t>
        </is>
      </c>
    </row>
    <row r="25">
      <c r="A25" s="5" t="n">
        <v>23</v>
      </c>
      <c r="B25" s="5" t="inlineStr">
        <is>
          <t>UEN anchor</t>
        </is>
      </c>
      <c r="C25" s="5" t="inlineStr">
        <is>
          <t>199201623M</t>
        </is>
      </c>
      <c r="D25" s="5" t="inlineStr">
        <is>
          <t>SGX announcement</t>
        </is>
      </c>
      <c r="E25" s="5" t="inlineStr">
        <is>
          <t>FHPL/RHH cover 22 Jul 2025</t>
        </is>
      </c>
      <c r="F25" s="5" t="inlineStr">
        <is>
          <t>Subject identity</t>
        </is>
      </c>
    </row>
  </sheetData>
  <pageMargins left="0.75" right="0.75" top="1" bottom="1" header="0.5" footer="0.5"/>
  <headerFooter>
    <oddHeader/>
    <oddFooter>&amp;COxaide • UEN 201806463W • Research, not advice • REF SAMPLE-dcf-audit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0" customWidth="1" min="3" max="3"/>
    <col width="78" customWidth="1" min="4" max="4"/>
    <col width="78" customWidth="1" min="5" max="5"/>
  </cols>
  <sheetData>
    <row r="1" ht="22" customHeight="1">
      <c r="A1" s="1" t="inlineStr">
        <is>
          <t>Issue list by cell — each finding with fix. Severity: High / Medium / Low.</t>
        </is>
      </c>
    </row>
    <row r="2" ht="28" customHeight="1">
      <c r="A2" s="2" t="inlineStr">
        <is>
          <t>#</t>
        </is>
      </c>
      <c r="B2" s="2" t="inlineStr">
        <is>
          <t>Cell</t>
        </is>
      </c>
      <c r="C2" s="2" t="inlineStr">
        <is>
          <t>Severity</t>
        </is>
      </c>
      <c r="D2" s="2" t="inlineStr">
        <is>
          <t>Issue</t>
        </is>
      </c>
      <c r="E2" s="2" t="inlineStr">
        <is>
          <t>Fix applied / recommended</t>
        </is>
      </c>
    </row>
    <row r="3" ht="52" customHeight="1">
      <c r="A3" s="5" t="n">
        <v>1</v>
      </c>
      <c r="B3" s="5" t="inlineStr">
        <is>
          <t>REBUILT_DCF!B3:B6</t>
        </is>
      </c>
      <c r="C3" s="5" t="inlineStr">
        <is>
          <t>High</t>
        </is>
      </c>
      <c r="D3" s="5" t="inlineStr">
        <is>
          <t>Perimeter restated twice: FY25 continuing revenue was S$813.7m (AR2024/25) then S$489.1m (AR2025/26) after FHPL/RHH/QS moved to discontinued. Chaining old history overstates scale.</t>
        </is>
      </c>
      <c r="E3" s="5" t="inlineStr">
        <is>
          <t>Anchor only on restated FY25 + FY26 continuing; never chain pre-restatement revenue/capex ratios.</t>
        </is>
      </c>
    </row>
    <row r="4" ht="52" customHeight="1">
      <c r="A4" s="3" t="n">
        <v>2</v>
      </c>
      <c r="B4" s="3" t="inlineStr">
        <is>
          <t>Inputs_audit!4 vs AR2024/25 p47</t>
        </is>
      </c>
      <c r="C4" s="3" t="inlineStr">
        <is>
          <t>High</t>
        </is>
      </c>
      <c r="D4" s="3" t="inlineStr">
        <is>
          <t>AR2024/25 p47 'Free cash flow' S$128.8m equals operating cash flow PLUS capex (77.8+51.1); five-year p41 and AR2025/26 correctly subtract (26.7m). The p47 figure is erroneous.</t>
        </is>
      </c>
      <c r="E4" s="3" t="inlineStr">
        <is>
          <t>Use OCF-minus-capex only; cite AR2025/26 p46 restatement as proof; never quote AR2024/25 p47 FCF.</t>
        </is>
      </c>
    </row>
    <row r="5" ht="52" customHeight="1">
      <c r="A5" s="5" t="n">
        <v>3</v>
      </c>
      <c r="B5" s="5" t="inlineStr">
        <is>
          <t>REBUILT_DCF!B12</t>
        </is>
      </c>
      <c r="C5" s="5" t="inlineStr">
        <is>
          <t>High</t>
        </is>
      </c>
      <c r="D5" s="5" t="inlineStr">
        <is>
          <t>Continuing operating cash flow was negative two years: FY25 about -S$59.5m and FY26 about -S$16.7m (consolidated OCF less discontinued per Notes 2.13/2.14). Headline OCF was flattered by sold units.</t>
        </is>
      </c>
      <c r="E5" s="5" t="inlineStr">
        <is>
          <t>Rebuild FCFF from continuing EBIT; assume neutral working capital and sensitize a payables-burn case.</t>
        </is>
      </c>
    </row>
    <row r="6" ht="52" customHeight="1">
      <c r="A6" s="3" t="n">
        <v>4</v>
      </c>
      <c r="B6" s="3" t="inlineStr">
        <is>
          <t>REBUILT_DCF!B11:G11</t>
        </is>
      </c>
      <c r="C6" s="3" t="inlineStr">
        <is>
          <t>High</t>
        </is>
      </c>
      <c r="D6" s="3" t="inlineStr">
        <is>
          <t>Working-capital burn: payables cash outflow S$67.5m (FY26) and S$125.5m (FY25); S$38.1m aged-payables derecognition (Note 2.8) is non-cash yet 63% of FY26 net profit.</t>
        </is>
      </c>
      <c r="E6" s="3" t="inlineStr">
        <is>
          <t>Exclude the S$38.1m from cash flow; set base-case working-capital change to zero and show downside.</t>
        </is>
      </c>
    </row>
    <row r="7" ht="52" customHeight="1">
      <c r="A7" s="5" t="n">
        <v>5</v>
      </c>
      <c r="B7" s="5" t="inlineStr">
        <is>
          <t>REBUILT_DCF!B23</t>
        </is>
      </c>
      <c r="C7" s="5" t="inlineStr">
        <is>
          <t>High</t>
        </is>
      </c>
      <c r="D7" s="5" t="inlineStr">
        <is>
          <t>Perpetual S$251.5m sits in equity but behaves like debt: S$10.9m annual distribution left underlying EPS at -0.01 cents; coupon resets Jul 2027; S$100m notes mature Mar 2027.</t>
        </is>
      </c>
      <c r="E7" s="5" t="inlineStr">
        <is>
          <t>Subtract perpetuals at par in the bridge; flag refinancing; show dividend cover on underlying profit.</t>
        </is>
      </c>
    </row>
    <row r="8" ht="52" customHeight="1">
      <c r="A8" s="3" t="n">
        <v>6</v>
      </c>
      <c r="B8" s="3" t="inlineStr">
        <is>
          <t>REBUILT_DCF!B10:G10</t>
        </is>
      </c>
      <c r="C8" s="3" t="inlineStr">
        <is>
          <t>Medium</t>
        </is>
      </c>
      <c r="D8" s="3" t="inlineStr">
        <is>
          <t>Capex S$15.7m ran well below D&amp;A S$30.7m in FY26; property, plant and equipment shrank. A DCF that freezes capex there understates stay-in-business spend.</t>
        </is>
      </c>
      <c r="E8" s="3" t="inlineStr">
        <is>
          <t>Project capex rising from S$20.0m (+3% p.a.); note the S$30m automation program (Q1 FY26/27 update).</t>
        </is>
      </c>
    </row>
    <row r="9" ht="52" customHeight="1">
      <c r="A9" s="5" t="n">
        <v>7</v>
      </c>
      <c r="B9" s="5" t="inlineStr">
        <is>
          <t>WACC!B14 vs Note 3.6</t>
        </is>
      </c>
      <c r="C9" s="5" t="inlineStr">
        <is>
          <t>High</t>
        </is>
      </c>
      <c r="D9" s="5" t="inlineStr">
        <is>
          <t>Property valuer discounts SingPost Centre rents at 6.50-8.00% (Note 3.6 p148) — above the group WACC 4.54%. Pricing the whole group below its safest asset is aggressive.</t>
        </is>
      </c>
      <c r="E9" s="5" t="inlineStr">
        <is>
          <t>Run the grid to 7.5%; at 6.5% the REBUILT value falls below the market price (see Sensitivity_grid).</t>
        </is>
      </c>
    </row>
    <row r="10" ht="52" customHeight="1">
      <c r="A10" s="3" t="n">
        <v>8</v>
      </c>
      <c r="B10" s="3" t="inlineStr">
        <is>
          <t>WACC!B4</t>
        </is>
      </c>
      <c r="C10" s="3" t="inlineStr">
        <is>
          <t>Medium</t>
        </is>
      </c>
      <c r="D10" s="3" t="inlineStr">
        <is>
          <t>Beta is unstable: observed 1Y 0.57 (TradingView) vs sector-relevered about 0.97 (Damodaran Transportation unlevered 0.68). Either endpoint moves WACC by about 1.1 points.</t>
        </is>
      </c>
      <c r="E10" s="3" t="inlineStr">
        <is>
          <t>Use central 0.80 and carry the full 0.57-0.97 range through the WACC sensitivity.</t>
        </is>
      </c>
    </row>
    <row r="11" ht="52" customHeight="1">
      <c r="A11" s="5" t="n">
        <v>9</v>
      </c>
      <c r="B11" s="5" t="inlineStr">
        <is>
          <t>WACC!B15</t>
        </is>
      </c>
      <c r="C11" s="5" t="inlineStr">
        <is>
          <t>Medium</t>
        </is>
      </c>
      <c r="D11" s="5" t="inlineStr">
        <is>
          <t>Terminal growth 1.5% assumes parcels/property offset structural mail decline (domestic mail -16.2%, international mail -45.1% in Q1 FY26/27; cross-border -57.9% in FY26).</t>
        </is>
      </c>
      <c r="E11" s="5" t="inlineStr">
        <is>
          <t>Sensitize g from 0% to 2.5%; show the zero-growth downside explicitly in the grid.</t>
        </is>
      </c>
    </row>
    <row r="12" ht="52" customHeight="1">
      <c r="A12" s="3" t="n">
        <v>10</v>
      </c>
      <c r="B12" s="3" t="inlineStr">
        <is>
          <t>REBUILT_DCF!B5:G5</t>
        </is>
      </c>
      <c r="C12" s="3" t="inlineStr">
        <is>
          <t>Medium</t>
        </is>
      </c>
      <c r="D12" s="3" t="inlineStr">
        <is>
          <t>Margin recovery to 6% by FY31 depends on the &gt;10% cost-to-serve cut and automation commissioned Jul 2026 — targets, not results; L&amp;L lost S$6.1m in FY26.</t>
        </is>
      </c>
      <c r="E12" s="3" t="inlineStr">
        <is>
          <t>Phase margins 3.5% to 6.0% and flag: without recovery, FY31 FCFF drops by about S$9m.</t>
        </is>
      </c>
    </row>
    <row r="13" ht="52" customHeight="1">
      <c r="A13" s="5" t="n">
        <v>11</v>
      </c>
      <c r="B13" s="5" t="inlineStr">
        <is>
          <t>WACC!B12:B13</t>
        </is>
      </c>
      <c r="C13" s="5" t="inlineStr">
        <is>
          <t>Low</t>
        </is>
      </c>
      <c r="D13" s="5" t="inlineStr">
        <is>
          <t>Market-value weights (E/V 67%) are circular: they use the S$0.31 price the model tests. Book weights give E/V 76% and a lower WACC.</t>
        </is>
      </c>
      <c r="E13" s="5" t="inlineStr">
        <is>
          <t>Disclose the circularity; book-weight WACC variant shown on WACC sheet row 18.</t>
        </is>
      </c>
    </row>
    <row r="14" ht="52" customHeight="1">
      <c r="A14" s="3" t="n">
        <v>12</v>
      </c>
      <c r="B14" s="3" t="inlineStr">
        <is>
          <t>REBUILT_DCF!B27:B28</t>
        </is>
      </c>
      <c r="C14" s="3" t="inlineStr">
        <is>
          <t>Medium</t>
        </is>
      </c>
      <c r="D14" s="3" t="inlineStr">
        <is>
          <t>Annualising Q1 (S$4.1m x 4 = S$16.4m) overstates the run-rate: Q1 margin 4.4% already exceeds FY26 full-year 3.1%; postal H2 is seasonal and exceptionals recur.</t>
        </is>
      </c>
      <c r="E14" s="3" t="inlineStr">
        <is>
          <t>Keep the FY26 audited full year as the base; use Q1 only as outlook context, never as the base.</t>
        </is>
      </c>
    </row>
  </sheetData>
  <pageMargins left="0.75" right="0.75" top="1" bottom="1" header="0.5" footer="0.5"/>
  <headerFooter>
    <oddHeader/>
    <oddFooter>&amp;COxaide • UEN 201806463W • Research, not advice • REF SAMPLE-dcf-audit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2026-09-28T09:14:52Z</dcterms:created>
  <dcterms:modified xmlns:dcterms="http://purl.org/dc/terms/" xmlns:xsi="http://www.w3.org/2001/XMLSchema-instance" xsi:type="dcterms:W3CDTF">2026-10-04T09:01:07Z</dcterms:modified>
</cp:coreProperties>
</file>